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170" firstSheet="4" activeTab="4"/>
  </bookViews>
  <sheets>
    <sheet name="Slide 14 parte superior" sheetId="4" r:id="rId1"/>
    <sheet name="Slide 14 parte inferior" sheetId="1" r:id="rId2"/>
    <sheet name="20 unidades con condición" sheetId="7" r:id="rId3"/>
    <sheet name="Especialidades Margen Especial" sheetId="5" r:id="rId4"/>
    <sheet name="Comparativa PVL vs PVA" sheetId="2" r:id="rId5"/>
    <sheet name="Ejemplos de bonificación" sheetId="3" r:id="rId6"/>
    <sheet name="Comp PVL vs PVA bonificacion" sheetId="6" r:id="rId7"/>
  </sheets>
  <calcPr calcId="145621"/>
</workbook>
</file>

<file path=xl/calcChain.xml><?xml version="1.0" encoding="utf-8"?>
<calcChain xmlns="http://schemas.openxmlformats.org/spreadsheetml/2006/main">
  <c r="F7" i="2" l="1"/>
  <c r="G7" i="2"/>
  <c r="D7" i="2"/>
  <c r="K2" i="7" l="1"/>
  <c r="M2" i="7" s="1"/>
  <c r="C2" i="7"/>
  <c r="E2" i="7" s="1"/>
  <c r="K2" i="1"/>
  <c r="M2" i="1" s="1"/>
  <c r="F2" i="7" l="1"/>
  <c r="G2" i="7" s="1"/>
  <c r="N2" i="7"/>
  <c r="O2" i="7" s="1"/>
  <c r="N2" i="1"/>
  <c r="O2" i="1" s="1"/>
  <c r="I8" i="6" l="1"/>
  <c r="G8" i="6"/>
  <c r="C8" i="6"/>
  <c r="C7" i="6"/>
  <c r="I6" i="6"/>
  <c r="G6" i="6"/>
  <c r="C2" i="6"/>
  <c r="C9" i="6" s="1"/>
  <c r="D9" i="6" l="1"/>
  <c r="F9" i="6" s="1"/>
  <c r="D7" i="6"/>
  <c r="F7" i="6" s="1"/>
  <c r="J2" i="6"/>
  <c r="F2" i="6"/>
  <c r="G2" i="6" s="1"/>
  <c r="G7" i="6" s="1"/>
  <c r="J11" i="5"/>
  <c r="J10" i="5"/>
  <c r="F9" i="3"/>
  <c r="F10" i="3"/>
  <c r="F11" i="3"/>
  <c r="F8" i="3"/>
  <c r="G11" i="5"/>
  <c r="F11" i="5" s="1"/>
  <c r="D11" i="5"/>
  <c r="G10" i="5"/>
  <c r="F10" i="5" s="1"/>
  <c r="D10" i="5"/>
  <c r="C2" i="4"/>
  <c r="E2" i="4" s="1"/>
  <c r="G2" i="4" s="1"/>
  <c r="C2" i="1"/>
  <c r="I2" i="6" l="1"/>
  <c r="E2" i="1"/>
  <c r="F2" i="1"/>
  <c r="G9" i="6" l="1"/>
  <c r="I9" i="6" s="1"/>
  <c r="I7" i="6"/>
  <c r="G2" i="1"/>
  <c r="F8" i="2"/>
  <c r="H6" i="2"/>
  <c r="D9" i="3" l="1"/>
  <c r="D11" i="3"/>
  <c r="D10" i="3"/>
  <c r="D8" i="3"/>
  <c r="C8" i="2"/>
  <c r="C7" i="2"/>
  <c r="C2" i="2"/>
  <c r="I2" i="2" s="1"/>
  <c r="E2" i="2" l="1"/>
  <c r="F2" i="2" s="1"/>
  <c r="C9" i="2"/>
  <c r="D9" i="2" s="1"/>
  <c r="E7" i="2"/>
  <c r="H7" i="2" s="1"/>
  <c r="F9" i="2"/>
  <c r="H2" i="2"/>
  <c r="E9" i="2" l="1"/>
  <c r="H9" i="2" s="1"/>
  <c r="G10" i="3"/>
  <c r="H10" i="3" s="1"/>
  <c r="I10" i="3" s="1"/>
  <c r="G9" i="3"/>
  <c r="H9" i="3" s="1"/>
  <c r="I9" i="3" s="1"/>
  <c r="G8" i="3"/>
  <c r="H8" i="3" s="1"/>
  <c r="I8" i="3" s="1"/>
  <c r="G11" i="3"/>
  <c r="H11" i="3" s="1"/>
  <c r="I11" i="3" s="1"/>
</calcChain>
</file>

<file path=xl/sharedStrings.xml><?xml version="1.0" encoding="utf-8"?>
<sst xmlns="http://schemas.openxmlformats.org/spreadsheetml/2006/main" count="99" uniqueCount="34">
  <si>
    <t>PVP IVA</t>
  </si>
  <si>
    <t>PVP</t>
  </si>
  <si>
    <t>Margen farmacia</t>
  </si>
  <si>
    <t>PVA</t>
  </si>
  <si>
    <t>Margen distribución</t>
  </si>
  <si>
    <t>PVL</t>
  </si>
  <si>
    <t>Margen farmacia con IVA</t>
  </si>
  <si>
    <t>PVA IVA y RE</t>
  </si>
  <si>
    <t>Cargo cooperativo</t>
  </si>
  <si>
    <t>PCF</t>
  </si>
  <si>
    <t>Descuento</t>
  </si>
  <si>
    <t xml:space="preserve">Bonificación </t>
  </si>
  <si>
    <t>Pago</t>
  </si>
  <si>
    <t>Coste unitario</t>
  </si>
  <si>
    <t>PVA + IVA RE</t>
  </si>
  <si>
    <t>CN</t>
  </si>
  <si>
    <t>Puregon</t>
  </si>
  <si>
    <t>Clexane</t>
  </si>
  <si>
    <t>Descripción</t>
  </si>
  <si>
    <t>Margen almacén €</t>
  </si>
  <si>
    <t>Margen farmacia €</t>
  </si>
  <si>
    <t>Solo tocar celdas en amarillo. El resto son fórmulas o variables</t>
  </si>
  <si>
    <t>IVA y RE</t>
  </si>
  <si>
    <t>IVA</t>
  </si>
  <si>
    <t>&gt;143,04€</t>
  </si>
  <si>
    <t>&gt;255,75€</t>
  </si>
  <si>
    <t>&gt;572,95€</t>
  </si>
  <si>
    <t>Margen Farmacia</t>
  </si>
  <si>
    <t>PVL más 2 % de cargo cooperativo</t>
  </si>
  <si>
    <t>Unidades</t>
  </si>
  <si>
    <t>PVA menos 7 % de descuento</t>
  </si>
  <si>
    <t>PVA menos 5,43% de descuento</t>
  </si>
  <si>
    <t>PVL más 2,00 % de cargo cooperativo</t>
  </si>
  <si>
    <t>PCF 20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</si>
</sst>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0.0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haroni"/>
      <charset val="177"/>
    </font>
    <font>
      <sz val="10"/>
      <name val="Segoe UI Semibold"/>
      <family val="2"/>
    </font>
    <font>
      <b/>
      <sz val="18"/>
      <color rgb="FFFFFFFF"/>
      <name val="Calibri"/>
      <family val="2"/>
    </font>
    <font>
      <sz val="18"/>
      <color rgb="FF7F7F7F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85C853"/>
        <bgColor indexed="64"/>
      </patternFill>
    </fill>
    <fill>
      <patternFill patternType="solid">
        <fgColor rgb="FFD9EBD1"/>
        <bgColor indexed="64"/>
      </patternFill>
    </fill>
    <fill>
      <patternFill patternType="solid">
        <fgColor rgb="FFEDF5E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10" fontId="0" fillId="0" borderId="0" xfId="0" applyNumberFormat="1"/>
    <xf numFmtId="10" fontId="0" fillId="0" borderId="0" xfId="1" applyNumberFormat="1" applyFont="1"/>
    <xf numFmtId="2" fontId="0" fillId="0" borderId="0" xfId="0" applyNumberFormat="1"/>
    <xf numFmtId="9" fontId="0" fillId="0" borderId="0" xfId="1" applyFont="1" applyAlignment="1">
      <alignment horizontal="center" vertical="center" wrapText="1"/>
    </xf>
    <xf numFmtId="4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0" fillId="0" borderId="4" xfId="0" applyBorder="1"/>
    <xf numFmtId="44" fontId="0" fillId="0" borderId="0" xfId="0" applyNumberFormat="1" applyBorder="1"/>
    <xf numFmtId="0" fontId="0" fillId="0" borderId="6" xfId="0" applyBorder="1"/>
    <xf numFmtId="44" fontId="0" fillId="0" borderId="7" xfId="0" applyNumberFormat="1" applyBorder="1"/>
    <xf numFmtId="0" fontId="0" fillId="0" borderId="7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9" fontId="0" fillId="0" borderId="3" xfId="0" applyNumberFormat="1" applyBorder="1" applyAlignment="1">
      <alignment wrapText="1"/>
    </xf>
    <xf numFmtId="10" fontId="0" fillId="0" borderId="5" xfId="1" applyNumberFormat="1" applyFont="1" applyBorder="1"/>
    <xf numFmtId="0" fontId="0" fillId="0" borderId="5" xfId="0" applyBorder="1"/>
    <xf numFmtId="10" fontId="0" fillId="0" borderId="8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/>
    <xf numFmtId="2" fontId="0" fillId="0" borderId="9" xfId="0" applyNumberFormat="1" applyBorder="1"/>
    <xf numFmtId="0" fontId="0" fillId="0" borderId="9" xfId="0" applyBorder="1" applyAlignment="1">
      <alignment horizontal="center"/>
    </xf>
    <xf numFmtId="165" fontId="0" fillId="0" borderId="0" xfId="1" applyNumberFormat="1" applyFont="1"/>
    <xf numFmtId="44" fontId="0" fillId="2" borderId="0" xfId="0" applyNumberFormat="1" applyFill="1"/>
    <xf numFmtId="9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9" fontId="0" fillId="0" borderId="0" xfId="0" applyNumberFormat="1"/>
    <xf numFmtId="0" fontId="6" fillId="4" borderId="11" xfId="0" applyFont="1" applyFill="1" applyBorder="1" applyAlignment="1">
      <alignment horizontal="left" vertical="center" readingOrder="1"/>
    </xf>
    <xf numFmtId="8" fontId="6" fillId="4" borderId="11" xfId="0" applyNumberFormat="1" applyFont="1" applyFill="1" applyBorder="1" applyAlignment="1">
      <alignment horizontal="left" vertical="center" readingOrder="1"/>
    </xf>
    <xf numFmtId="0" fontId="6" fillId="5" borderId="12" xfId="0" applyFont="1" applyFill="1" applyBorder="1" applyAlignment="1">
      <alignment horizontal="left" vertical="center" readingOrder="1"/>
    </xf>
    <xf numFmtId="8" fontId="6" fillId="5" borderId="12" xfId="0" applyNumberFormat="1" applyFont="1" applyFill="1" applyBorder="1" applyAlignment="1">
      <alignment horizontal="left" vertical="center" readingOrder="1"/>
    </xf>
    <xf numFmtId="0" fontId="6" fillId="4" borderId="12" xfId="0" applyFont="1" applyFill="1" applyBorder="1" applyAlignment="1">
      <alignment horizontal="left" vertical="center" readingOrder="1"/>
    </xf>
    <xf numFmtId="8" fontId="6" fillId="4" borderId="12" xfId="0" applyNumberFormat="1" applyFont="1" applyFill="1" applyBorder="1" applyAlignment="1">
      <alignment horizontal="left" vertical="center" readingOrder="1"/>
    </xf>
    <xf numFmtId="0" fontId="5" fillId="3" borderId="10" xfId="0" applyFont="1" applyFill="1" applyBorder="1" applyAlignment="1">
      <alignment horizontal="center" vertical="center" wrapText="1" readingOrder="1"/>
    </xf>
    <xf numFmtId="4" fontId="0" fillId="0" borderId="0" xfId="0" applyNumberFormat="1"/>
    <xf numFmtId="2" fontId="0" fillId="2" borderId="0" xfId="0" applyNumberFormat="1" applyFill="1"/>
    <xf numFmtId="0" fontId="0" fillId="2" borderId="0" xfId="0" quotePrefix="1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8" fillId="0" borderId="0" xfId="1" applyNumberFormat="1" applyFont="1"/>
    <xf numFmtId="0" fontId="7" fillId="0" borderId="0" xfId="0" applyFont="1" applyAlignment="1">
      <alignment horizontal="center" vertical="center" wrapText="1"/>
    </xf>
    <xf numFmtId="0" fontId="0" fillId="0" borderId="7" xfId="0" applyNumberFormat="1" applyBorder="1"/>
    <xf numFmtId="0" fontId="2" fillId="0" borderId="3" xfId="0" applyFont="1" applyBorder="1" applyAlignment="1">
      <alignment horizontal="center" vertical="center" wrapText="1"/>
    </xf>
    <xf numFmtId="44" fontId="0" fillId="0" borderId="8" xfId="0" applyNumberForma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 wrapText="1"/>
    </xf>
    <xf numFmtId="166" fontId="0" fillId="0" borderId="7" xfId="0" applyNumberFormat="1" applyBorder="1"/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7908</xdr:rowOff>
    </xdr:from>
    <xdr:to>
      <xdr:col>5</xdr:col>
      <xdr:colOff>227555</xdr:colOff>
      <xdr:row>16</xdr:row>
      <xdr:rowOff>39818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785908"/>
          <a:ext cx="3886743" cy="1143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158750</xdr:rowOff>
    </xdr:from>
    <xdr:to>
      <xdr:col>7</xdr:col>
      <xdr:colOff>270925</xdr:colOff>
      <xdr:row>16</xdr:row>
      <xdr:rowOff>115938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6688"/>
          <a:ext cx="5295363" cy="1568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13</xdr:col>
      <xdr:colOff>76743</xdr:colOff>
      <xdr:row>14</xdr:row>
      <xdr:rowOff>31910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4875" y="1460500"/>
          <a:ext cx="3886743" cy="11431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158750</xdr:rowOff>
    </xdr:from>
    <xdr:to>
      <xdr:col>7</xdr:col>
      <xdr:colOff>270925</xdr:colOff>
      <xdr:row>16</xdr:row>
      <xdr:rowOff>115938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4150"/>
          <a:ext cx="5300125" cy="15954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13</xdr:col>
      <xdr:colOff>76743</xdr:colOff>
      <xdr:row>14</xdr:row>
      <xdr:rowOff>31910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91225" y="1476375"/>
          <a:ext cx="3886743" cy="11653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755196</xdr:colOff>
      <xdr:row>10</xdr:row>
      <xdr:rowOff>0</xdr:rowOff>
    </xdr:from>
    <xdr:to>
      <xdr:col>6</xdr:col>
      <xdr:colOff>639710</xdr:colOff>
      <xdr:row>18</xdr:row>
      <xdr:rowOff>134836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" y="2721429"/>
          <a:ext cx="5374996" cy="14411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zoomScale="120" zoomScaleNormal="120" workbookViewId="0">
      <selection sqref="A1:G2"/>
    </sheetView>
  </sheetViews>
  <sheetFormatPr baseColWidth="10" defaultRowHeight="12.75" x14ac:dyDescent="0.2"/>
  <cols>
    <col min="2" max="2" width="17.28515625" bestFit="1" customWidth="1"/>
    <col min="4" max="4" width="14.7109375" bestFit="1" customWidth="1"/>
    <col min="8" max="8" width="14.42578125" customWidth="1"/>
  </cols>
  <sheetData>
    <row r="1" spans="1:9" s="6" customFormat="1" ht="38.25" customHeight="1" x14ac:dyDescent="0.2">
      <c r="A1" s="33" t="s">
        <v>5</v>
      </c>
      <c r="B1" s="33" t="s">
        <v>4</v>
      </c>
      <c r="C1" s="33" t="s">
        <v>3</v>
      </c>
      <c r="D1" s="33" t="s">
        <v>2</v>
      </c>
      <c r="E1" s="33" t="s">
        <v>1</v>
      </c>
      <c r="F1" s="33" t="s">
        <v>23</v>
      </c>
      <c r="G1" s="33" t="s">
        <v>0</v>
      </c>
      <c r="H1" s="32"/>
      <c r="I1" s="32"/>
    </row>
    <row r="2" spans="1:9" x14ac:dyDescent="0.2">
      <c r="A2" s="31">
        <v>1.26</v>
      </c>
      <c r="B2" s="1">
        <v>7.5999999999999998E-2</v>
      </c>
      <c r="C2" s="5">
        <f>+A2/(1-B2)</f>
        <v>1.3636363636363635</v>
      </c>
      <c r="D2" s="1">
        <v>0.27900000000000003</v>
      </c>
      <c r="E2" s="5">
        <f>+C2/(1-D2)</f>
        <v>1.8913125709242213</v>
      </c>
      <c r="F2" s="36">
        <v>0.04</v>
      </c>
      <c r="G2" s="5">
        <f>+E2*(1+$F$2)</f>
        <v>1.9669650737611903</v>
      </c>
      <c r="H2" s="2"/>
      <c r="I2" s="5"/>
    </row>
    <row r="3" spans="1:9" x14ac:dyDescent="0.2">
      <c r="E3" s="1"/>
    </row>
    <row r="7" spans="1:9" ht="14.25" x14ac:dyDescent="0.25">
      <c r="A7" s="34" t="s">
        <v>21</v>
      </c>
      <c r="B7" s="35"/>
      <c r="C7" s="35"/>
      <c r="D7" s="3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topLeftCell="C1" zoomScale="120" zoomScaleNormal="120" workbookViewId="0">
      <selection activeCell="I1" sqref="I1:O2"/>
    </sheetView>
  </sheetViews>
  <sheetFormatPr baseColWidth="10" defaultRowHeight="12.75" x14ac:dyDescent="0.2"/>
  <cols>
    <col min="2" max="2" width="17.28515625" bestFit="1" customWidth="1"/>
    <col min="4" max="4" width="6.7109375" customWidth="1"/>
    <col min="5" max="5" width="8.28515625" customWidth="1"/>
    <col min="6" max="6" width="8.85546875" customWidth="1"/>
    <col min="8" max="8" width="14.42578125" customWidth="1"/>
  </cols>
  <sheetData>
    <row r="1" spans="1:15" ht="38.25" x14ac:dyDescent="0.2">
      <c r="A1" s="33" t="s">
        <v>5</v>
      </c>
      <c r="B1" s="33" t="s">
        <v>4</v>
      </c>
      <c r="C1" s="33" t="s">
        <v>3</v>
      </c>
      <c r="D1" s="33" t="s">
        <v>22</v>
      </c>
      <c r="E1" s="33" t="s">
        <v>9</v>
      </c>
      <c r="F1" s="33" t="s">
        <v>0</v>
      </c>
      <c r="G1" s="32" t="s">
        <v>6</v>
      </c>
      <c r="I1" s="33" t="s">
        <v>5</v>
      </c>
      <c r="J1" s="33" t="s">
        <v>4</v>
      </c>
      <c r="K1" s="33" t="s">
        <v>3</v>
      </c>
      <c r="L1" s="33" t="s">
        <v>22</v>
      </c>
      <c r="M1" s="33" t="s">
        <v>9</v>
      </c>
      <c r="N1" s="33" t="s">
        <v>0</v>
      </c>
      <c r="O1" s="32" t="s">
        <v>6</v>
      </c>
    </row>
    <row r="2" spans="1:15" x14ac:dyDescent="0.2">
      <c r="A2" s="31">
        <v>47.8</v>
      </c>
      <c r="B2" s="1">
        <v>7.5999999999999998E-2</v>
      </c>
      <c r="C2" s="5">
        <f>+A2/(1-B2)</f>
        <v>51.731601731601728</v>
      </c>
      <c r="D2" s="1">
        <v>4.4999999999999998E-2</v>
      </c>
      <c r="E2" s="5">
        <f>+C2*(1+D2)</f>
        <v>54.059523809523803</v>
      </c>
      <c r="F2" s="5">
        <f>+C2/(1-0.279)*1.04</f>
        <v>74.61978613157531</v>
      </c>
      <c r="G2" s="2">
        <f>+(F2-E2)/F2</f>
        <v>0.27553365384615391</v>
      </c>
      <c r="I2" s="31">
        <v>1.26</v>
      </c>
      <c r="J2" s="1">
        <v>7.5999999999999998E-2</v>
      </c>
      <c r="K2" s="5">
        <f>+I2/(1-J2)</f>
        <v>1.3636363636363635</v>
      </c>
      <c r="L2" s="1">
        <v>4.4999999999999998E-2</v>
      </c>
      <c r="M2" s="5">
        <f>+K2*(1+L2)</f>
        <v>1.4249999999999998</v>
      </c>
      <c r="N2" s="5">
        <f>+K2/(1-0.279)*1.04</f>
        <v>1.9669650737611903</v>
      </c>
      <c r="O2" s="2">
        <f>+(N2-M2)/N2</f>
        <v>0.27553365384615397</v>
      </c>
    </row>
    <row r="7" spans="1:15" ht="14.25" x14ac:dyDescent="0.25">
      <c r="A7" s="34" t="s">
        <v>21</v>
      </c>
      <c r="B7" s="35"/>
      <c r="C7" s="35"/>
      <c r="D7" s="35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zoomScale="120" zoomScaleNormal="120" workbookViewId="0"/>
  </sheetViews>
  <sheetFormatPr baseColWidth="10" defaultRowHeight="12.75" x14ac:dyDescent="0.2"/>
  <cols>
    <col min="2" max="2" width="17.28515625" bestFit="1" customWidth="1"/>
    <col min="4" max="4" width="6.7109375" customWidth="1"/>
    <col min="5" max="5" width="8.28515625" customWidth="1"/>
    <col min="6" max="6" width="8.85546875" customWidth="1"/>
    <col min="8" max="8" width="14.42578125" customWidth="1"/>
  </cols>
  <sheetData>
    <row r="1" spans="1:15" ht="38.25" x14ac:dyDescent="0.2">
      <c r="A1" s="33" t="s">
        <v>5</v>
      </c>
      <c r="B1" s="33" t="s">
        <v>4</v>
      </c>
      <c r="C1" s="33" t="s">
        <v>3</v>
      </c>
      <c r="D1" s="33" t="s">
        <v>22</v>
      </c>
      <c r="E1" s="33" t="s">
        <v>9</v>
      </c>
      <c r="F1" s="33" t="s">
        <v>0</v>
      </c>
      <c r="G1" s="32" t="s">
        <v>6</v>
      </c>
      <c r="I1" s="33" t="s">
        <v>5</v>
      </c>
      <c r="J1" s="33" t="s">
        <v>4</v>
      </c>
      <c r="K1" s="33" t="s">
        <v>3</v>
      </c>
      <c r="L1" s="33" t="s">
        <v>22</v>
      </c>
      <c r="M1" s="33" t="s">
        <v>9</v>
      </c>
      <c r="N1" s="33" t="s">
        <v>0</v>
      </c>
      <c r="O1" s="32" t="s">
        <v>6</v>
      </c>
    </row>
    <row r="2" spans="1:15" x14ac:dyDescent="0.2">
      <c r="A2" s="31">
        <v>47.8</v>
      </c>
      <c r="B2" s="1">
        <v>7.5999999999999998E-2</v>
      </c>
      <c r="C2" s="5">
        <f>+A2/(1-B2)</f>
        <v>51.731601731601728</v>
      </c>
      <c r="D2" s="1">
        <v>4.4999999999999998E-2</v>
      </c>
      <c r="E2" s="5">
        <f>+C2*(1+D2)</f>
        <v>54.059523809523803</v>
      </c>
      <c r="F2" s="5">
        <f>+C2/(1-0.279)*1.04</f>
        <v>74.61978613157531</v>
      </c>
      <c r="G2" s="2">
        <f>+(F2-E2)/F2</f>
        <v>0.27553365384615391</v>
      </c>
      <c r="I2" s="31">
        <v>1.26</v>
      </c>
      <c r="J2" s="1">
        <v>7.5999999999999998E-2</v>
      </c>
      <c r="K2" s="5">
        <f>+I2/(1-J2)</f>
        <v>1.3636363636363635</v>
      </c>
      <c r="L2" s="1">
        <v>4.4999999999999998E-2</v>
      </c>
      <c r="M2" s="5">
        <f>+K2*(1+L2)</f>
        <v>1.4249999999999998</v>
      </c>
      <c r="N2" s="5">
        <f>+K2/(1-0.279)*1.04</f>
        <v>1.9669650737611903</v>
      </c>
      <c r="O2" s="2">
        <f>+(N2-M2)/N2</f>
        <v>0.27553365384615397</v>
      </c>
    </row>
    <row r="7" spans="1:15" ht="14.25" x14ac:dyDescent="0.25">
      <c r="A7" s="34" t="s">
        <v>21</v>
      </c>
      <c r="B7" s="35"/>
      <c r="C7" s="35"/>
      <c r="D7" s="35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selection activeCell="F10" sqref="F10"/>
    </sheetView>
  </sheetViews>
  <sheetFormatPr baseColWidth="10" defaultRowHeight="12.75" x14ac:dyDescent="0.2"/>
  <cols>
    <col min="3" max="3" width="14.140625" bestFit="1" customWidth="1"/>
    <col min="4" max="4" width="14.28515625" customWidth="1"/>
    <col min="6" max="7" width="12.140625" customWidth="1"/>
    <col min="8" max="8" width="12.42578125" bestFit="1" customWidth="1"/>
    <col min="9" max="9" width="2.5703125" customWidth="1"/>
    <col min="10" max="10" width="10.5703125" customWidth="1"/>
  </cols>
  <sheetData>
    <row r="1" spans="1:10" ht="42" customHeight="1" thickBot="1" x14ac:dyDescent="0.25">
      <c r="C1" s="43" t="s">
        <v>0</v>
      </c>
      <c r="D1" s="43" t="s">
        <v>27</v>
      </c>
    </row>
    <row r="2" spans="1:10" ht="24.75" thickTop="1" thickBot="1" x14ac:dyDescent="0.25">
      <c r="C2" s="37" t="s">
        <v>24</v>
      </c>
      <c r="D2" s="38">
        <v>38.369999999999997</v>
      </c>
    </row>
    <row r="3" spans="1:10" ht="24" thickBot="1" x14ac:dyDescent="0.25">
      <c r="C3" s="39" t="s">
        <v>25</v>
      </c>
      <c r="D3" s="40">
        <v>43.37</v>
      </c>
    </row>
    <row r="4" spans="1:10" ht="24" thickBot="1" x14ac:dyDescent="0.25">
      <c r="C4" s="41" t="s">
        <v>26</v>
      </c>
      <c r="D4" s="42">
        <v>48.37</v>
      </c>
    </row>
    <row r="8" spans="1:10" ht="13.5" thickBot="1" x14ac:dyDescent="0.25"/>
    <row r="9" spans="1:10" s="23" customFormat="1" ht="25.5" x14ac:dyDescent="0.2">
      <c r="A9" s="24" t="s">
        <v>15</v>
      </c>
      <c r="B9" s="25" t="s">
        <v>18</v>
      </c>
      <c r="C9" s="25" t="s">
        <v>5</v>
      </c>
      <c r="D9" s="25" t="s">
        <v>19</v>
      </c>
      <c r="E9" s="25" t="s">
        <v>3</v>
      </c>
      <c r="F9" s="25" t="s">
        <v>20</v>
      </c>
      <c r="G9" s="25" t="s">
        <v>1</v>
      </c>
      <c r="H9" s="26" t="s">
        <v>0</v>
      </c>
      <c r="J9" s="49" t="s">
        <v>27</v>
      </c>
    </row>
    <row r="10" spans="1:10" ht="18.75" customHeight="1" x14ac:dyDescent="0.25">
      <c r="A10" s="27">
        <v>856153</v>
      </c>
      <c r="B10" s="29" t="s">
        <v>16</v>
      </c>
      <c r="C10" s="28">
        <v>192.3</v>
      </c>
      <c r="D10" s="28">
        <f>+E10-C10</f>
        <v>7.539999999999992</v>
      </c>
      <c r="E10" s="28">
        <v>199.84</v>
      </c>
      <c r="F10" s="28">
        <f>+G10-E10</f>
        <v>38.371538461538449</v>
      </c>
      <c r="G10" s="28">
        <f>+H10/1.04</f>
        <v>238.21153846153845</v>
      </c>
      <c r="H10" s="27">
        <v>247.74</v>
      </c>
      <c r="J10" s="48">
        <f>+F10/G10</f>
        <v>0.16108177928473394</v>
      </c>
    </row>
    <row r="11" spans="1:10" ht="18.75" customHeight="1" x14ac:dyDescent="0.25">
      <c r="A11" s="27">
        <v>675297</v>
      </c>
      <c r="B11" s="29" t="s">
        <v>17</v>
      </c>
      <c r="C11" s="28">
        <v>258.60000000000002</v>
      </c>
      <c r="D11" s="28">
        <f t="shared" ref="D11" si="0">+E11-C11</f>
        <v>7.5399999999999636</v>
      </c>
      <c r="E11" s="28">
        <v>266.14</v>
      </c>
      <c r="F11" s="28">
        <f>+G11-E11</f>
        <v>43.369615384615372</v>
      </c>
      <c r="G11" s="28">
        <f>+H11/1.04</f>
        <v>309.50961538461536</v>
      </c>
      <c r="H11" s="27">
        <v>321.89</v>
      </c>
      <c r="J11" s="48">
        <f>+F11/G11</f>
        <v>0.14012364472335267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topLeftCell="A2" zoomScale="140" zoomScaleNormal="140" workbookViewId="0">
      <selection activeCell="B6" sqref="B6"/>
    </sheetView>
  </sheetViews>
  <sheetFormatPr baseColWidth="10" defaultRowHeight="12.75" x14ac:dyDescent="0.2"/>
  <cols>
    <col min="1" max="1" width="11.28515625" customWidth="1"/>
    <col min="2" max="2" width="21.28515625" customWidth="1"/>
    <col min="3" max="3" width="8.5703125" bestFit="1" customWidth="1"/>
    <col min="4" max="4" width="20" customWidth="1"/>
    <col min="5" max="5" width="9.7109375" bestFit="1" customWidth="1"/>
    <col min="8" max="8" width="14.42578125" customWidth="1"/>
  </cols>
  <sheetData>
    <row r="1" spans="1:9" s="6" customFormat="1" ht="38.25" customHeight="1" x14ac:dyDescent="0.2">
      <c r="A1" s="6" t="s">
        <v>5</v>
      </c>
      <c r="B1" s="6" t="s">
        <v>4</v>
      </c>
      <c r="C1" s="6" t="s">
        <v>3</v>
      </c>
      <c r="D1" s="6" t="s">
        <v>2</v>
      </c>
      <c r="E1" s="6" t="s">
        <v>1</v>
      </c>
      <c r="F1" s="6" t="s">
        <v>0</v>
      </c>
      <c r="H1" s="4" t="s">
        <v>6</v>
      </c>
      <c r="I1" s="4" t="s">
        <v>7</v>
      </c>
    </row>
    <row r="2" spans="1:9" x14ac:dyDescent="0.2">
      <c r="A2" s="31">
        <v>23.6</v>
      </c>
      <c r="B2" s="1">
        <v>7.5999999999999998E-2</v>
      </c>
      <c r="C2" s="5">
        <f>+A2/(1-B2)</f>
        <v>25.541125541125542</v>
      </c>
      <c r="D2" s="1">
        <v>0.27900000000000003</v>
      </c>
      <c r="E2" s="5">
        <f>+C2/(1-D2)</f>
        <v>35.424584661755262</v>
      </c>
      <c r="F2" s="5">
        <f>+E2*1.04</f>
        <v>36.841568048225476</v>
      </c>
      <c r="G2" s="3"/>
      <c r="H2" s="2">
        <f>+(F2-I2)/F2</f>
        <v>0.27553365384615403</v>
      </c>
      <c r="I2" s="5">
        <f>+C2*1.045</f>
        <v>26.69047619047619</v>
      </c>
    </row>
    <row r="3" spans="1:9" x14ac:dyDescent="0.2">
      <c r="E3" s="1"/>
    </row>
    <row r="4" spans="1:9" ht="14.25" x14ac:dyDescent="0.25">
      <c r="A4" s="34" t="s">
        <v>21</v>
      </c>
      <c r="B4" s="35"/>
      <c r="C4" s="35"/>
      <c r="D4" s="35"/>
      <c r="E4" s="1"/>
    </row>
    <row r="5" spans="1:9" ht="13.5" thickBot="1" x14ac:dyDescent="0.25"/>
    <row r="6" spans="1:9" ht="42" customHeight="1" x14ac:dyDescent="0.2">
      <c r="B6" s="8"/>
      <c r="C6" s="58" t="s">
        <v>5</v>
      </c>
      <c r="D6" s="58" t="s">
        <v>8</v>
      </c>
      <c r="E6" s="58" t="s">
        <v>9</v>
      </c>
      <c r="F6" s="59" t="s">
        <v>33</v>
      </c>
      <c r="G6" s="58" t="s">
        <v>0</v>
      </c>
      <c r="H6" s="18" t="str">
        <f>+H1</f>
        <v>Margen farmacia con IVA</v>
      </c>
    </row>
    <row r="7" spans="1:9" ht="26.25" thickBot="1" x14ac:dyDescent="0.25">
      <c r="B7" s="60" t="s">
        <v>32</v>
      </c>
      <c r="C7" s="13">
        <f>+A2</f>
        <v>23.6</v>
      </c>
      <c r="D7" s="13">
        <f>+C7*2%</f>
        <v>0.47200000000000003</v>
      </c>
      <c r="E7" s="13">
        <f>+(C7+D7)*1.045</f>
        <v>25.155240000000003</v>
      </c>
      <c r="F7" s="52">
        <f>+E7*20</f>
        <v>503.10480000000007</v>
      </c>
      <c r="G7" s="11">
        <f>+F2</f>
        <v>36.841568048225476</v>
      </c>
      <c r="H7" s="19">
        <f>+(F7-E7)/F7</f>
        <v>0.95000000000000007</v>
      </c>
    </row>
    <row r="8" spans="1:9" ht="42" customHeight="1" x14ac:dyDescent="0.2">
      <c r="B8" s="10"/>
      <c r="C8" s="15" t="str">
        <f>+C1</f>
        <v>PVA</v>
      </c>
      <c r="D8" s="15" t="s">
        <v>10</v>
      </c>
      <c r="E8" s="15" t="s">
        <v>9</v>
      </c>
      <c r="F8" s="17" t="str">
        <f>+F6</f>
        <v>PCF 20 unidades</v>
      </c>
      <c r="G8" s="17"/>
      <c r="H8" s="20"/>
    </row>
    <row r="9" spans="1:9" ht="13.5" thickBot="1" x14ac:dyDescent="0.25">
      <c r="B9" s="12" t="s">
        <v>31</v>
      </c>
      <c r="C9" s="13">
        <f>+C2</f>
        <v>25.541125541125542</v>
      </c>
      <c r="D9" s="56">
        <f>+C9*D11%</f>
        <v>1.243318173817354</v>
      </c>
      <c r="E9" s="13">
        <f>+(C9-D9)*1.045</f>
        <v>25.391208698837055</v>
      </c>
      <c r="F9" s="13">
        <f>+F7</f>
        <v>503.10480000000007</v>
      </c>
      <c r="G9" s="14"/>
      <c r="H9" s="21">
        <f>+(F9-E9)/F9</f>
        <v>0.94953097505959583</v>
      </c>
    </row>
    <row r="11" spans="1:9" x14ac:dyDescent="0.2">
      <c r="D11" s="3">
        <v>4.8679067483357414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3"/>
  <sheetViews>
    <sheetView showGridLines="0" workbookViewId="0">
      <selection activeCell="I6" sqref="I6"/>
    </sheetView>
  </sheetViews>
  <sheetFormatPr baseColWidth="10" defaultRowHeight="12.75" x14ac:dyDescent="0.2"/>
  <cols>
    <col min="6" max="7" width="12.140625" customWidth="1"/>
    <col min="8" max="8" width="12.42578125" bestFit="1" customWidth="1"/>
  </cols>
  <sheetData>
    <row r="6" spans="1:9" x14ac:dyDescent="0.2">
      <c r="B6" s="57" t="s">
        <v>11</v>
      </c>
      <c r="C6" s="57"/>
      <c r="D6" t="s">
        <v>10</v>
      </c>
      <c r="E6" t="s">
        <v>3</v>
      </c>
      <c r="F6" s="16" t="s">
        <v>14</v>
      </c>
      <c r="G6" s="16" t="s">
        <v>12</v>
      </c>
      <c r="H6" s="16" t="s">
        <v>13</v>
      </c>
      <c r="I6" s="16" t="s">
        <v>10</v>
      </c>
    </row>
    <row r="7" spans="1:9" x14ac:dyDescent="0.2">
      <c r="B7" s="22"/>
      <c r="C7" s="22"/>
    </row>
    <row r="8" spans="1:9" x14ac:dyDescent="0.2">
      <c r="B8" s="46">
        <v>10</v>
      </c>
      <c r="C8" s="47">
        <v>10</v>
      </c>
      <c r="D8" s="30">
        <f>+(C8/(C8+B8))</f>
        <v>0.5</v>
      </c>
      <c r="E8" s="45">
        <v>99.166666666666657</v>
      </c>
      <c r="F8" s="5">
        <f>E8*1.045</f>
        <v>103.62916666666665</v>
      </c>
      <c r="G8" s="44">
        <f>+F8*B8</f>
        <v>1036.2916666666665</v>
      </c>
      <c r="H8" s="7">
        <f>+G8/(B8+C8)</f>
        <v>51.814583333333324</v>
      </c>
      <c r="I8" s="30">
        <f>+(F8-H8)/F8</f>
        <v>0.5</v>
      </c>
    </row>
    <row r="9" spans="1:9" x14ac:dyDescent="0.2">
      <c r="B9" s="46">
        <v>10</v>
      </c>
      <c r="C9" s="47">
        <v>2</v>
      </c>
      <c r="D9" s="30">
        <f>+(C9/(C9+B9))</f>
        <v>0.16666666666666666</v>
      </c>
      <c r="E9" s="45">
        <v>99.166666666666657</v>
      </c>
      <c r="F9" s="5">
        <f t="shared" ref="F9:F11" si="0">E9*1.045</f>
        <v>103.62916666666665</v>
      </c>
      <c r="G9" s="44">
        <f t="shared" ref="G9:G11" si="1">+F9*B9</f>
        <v>1036.2916666666665</v>
      </c>
      <c r="H9" s="7">
        <f>+G9/(B9+C9)</f>
        <v>86.357638888888872</v>
      </c>
      <c r="I9" s="30">
        <f>+(F9-H9)/F9</f>
        <v>0.16666666666666669</v>
      </c>
    </row>
    <row r="10" spans="1:9" x14ac:dyDescent="0.2">
      <c r="B10" s="46">
        <v>5</v>
      </c>
      <c r="C10" s="47">
        <v>1</v>
      </c>
      <c r="D10" s="30">
        <f>+(C10/(C10+B10))</f>
        <v>0.16666666666666666</v>
      </c>
      <c r="E10" s="45">
        <v>99.166666666666657</v>
      </c>
      <c r="F10" s="5">
        <f t="shared" si="0"/>
        <v>103.62916666666665</v>
      </c>
      <c r="G10" s="44">
        <f t="shared" si="1"/>
        <v>518.14583333333326</v>
      </c>
      <c r="H10" s="7">
        <f t="shared" ref="H10:H11" si="2">+G10/(B10+C10)</f>
        <v>86.357638888888872</v>
      </c>
      <c r="I10" s="30">
        <f t="shared" ref="I10:I11" si="3">+(F10-H10)/F10</f>
        <v>0.16666666666666669</v>
      </c>
    </row>
    <row r="11" spans="1:9" x14ac:dyDescent="0.2">
      <c r="B11" s="46">
        <v>4</v>
      </c>
      <c r="C11" s="47">
        <v>1</v>
      </c>
      <c r="D11" s="30">
        <f>+(C11/(C11+B11))</f>
        <v>0.2</v>
      </c>
      <c r="E11" s="45">
        <v>99.166666666666657</v>
      </c>
      <c r="F11" s="5">
        <f t="shared" si="0"/>
        <v>103.62916666666665</v>
      </c>
      <c r="G11" s="44">
        <f t="shared" si="1"/>
        <v>414.51666666666659</v>
      </c>
      <c r="H11" s="7">
        <f t="shared" si="2"/>
        <v>82.903333333333322</v>
      </c>
      <c r="I11" s="30">
        <f t="shared" si="3"/>
        <v>0.19999999999999998</v>
      </c>
    </row>
    <row r="13" spans="1:9" ht="14.25" x14ac:dyDescent="0.25">
      <c r="A13" s="34" t="s">
        <v>21</v>
      </c>
      <c r="B13" s="35"/>
      <c r="C13" s="35"/>
      <c r="D13" s="35"/>
    </row>
  </sheetData>
  <mergeCells count="1">
    <mergeCell ref="B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zoomScale="120" zoomScaleNormal="120" workbookViewId="0">
      <selection activeCell="B8" sqref="B8:I9"/>
    </sheetView>
  </sheetViews>
  <sheetFormatPr baseColWidth="10" defaultRowHeight="12.75" x14ac:dyDescent="0.2"/>
  <cols>
    <col min="1" max="1" width="11.28515625" customWidth="1"/>
    <col min="2" max="2" width="31" bestFit="1" customWidth="1"/>
    <col min="3" max="3" width="8.5703125" bestFit="1" customWidth="1"/>
    <col min="4" max="5" width="20" customWidth="1"/>
    <col min="6" max="6" width="9.7109375" bestFit="1" customWidth="1"/>
    <col min="8" max="8" width="0" hidden="1" customWidth="1"/>
    <col min="9" max="9" width="20.85546875" customWidth="1"/>
  </cols>
  <sheetData>
    <row r="1" spans="1:10" s="6" customFormat="1" ht="38.25" customHeight="1" x14ac:dyDescent="0.2">
      <c r="A1" s="6" t="s">
        <v>5</v>
      </c>
      <c r="B1" s="6" t="s">
        <v>4</v>
      </c>
      <c r="C1" s="6" t="s">
        <v>3</v>
      </c>
      <c r="D1" s="6" t="s">
        <v>2</v>
      </c>
      <c r="E1" s="6" t="s">
        <v>29</v>
      </c>
      <c r="F1" s="6" t="s">
        <v>1</v>
      </c>
      <c r="G1" s="6" t="s">
        <v>0</v>
      </c>
      <c r="I1" s="4" t="s">
        <v>6</v>
      </c>
      <c r="J1" s="4" t="s">
        <v>7</v>
      </c>
    </row>
    <row r="2" spans="1:10" x14ac:dyDescent="0.2">
      <c r="A2" s="31">
        <v>27.61</v>
      </c>
      <c r="B2" s="1">
        <v>7.5999999999999998E-2</v>
      </c>
      <c r="C2" s="5">
        <f>+A2/(1-B2)</f>
        <v>29.88095238095238</v>
      </c>
      <c r="D2" s="1">
        <v>0.27900000000000003</v>
      </c>
      <c r="E2" s="1"/>
      <c r="F2" s="5">
        <f>+C2/(1-D2)</f>
        <v>41.443761970807742</v>
      </c>
      <c r="G2" s="5">
        <f>+F2*1.04</f>
        <v>43.101512449640055</v>
      </c>
      <c r="H2" s="3"/>
      <c r="I2" s="2">
        <f>+(G2-J2)/G2</f>
        <v>0.27553365384615403</v>
      </c>
      <c r="J2" s="5">
        <f>+C2*1.045</f>
        <v>31.225595238095234</v>
      </c>
    </row>
    <row r="3" spans="1:10" x14ac:dyDescent="0.2">
      <c r="F3" s="1"/>
    </row>
    <row r="4" spans="1:10" ht="14.25" x14ac:dyDescent="0.25">
      <c r="A4" s="34" t="s">
        <v>21</v>
      </c>
      <c r="B4" s="35"/>
      <c r="C4" s="35"/>
      <c r="D4" s="35"/>
      <c r="E4" s="35"/>
      <c r="F4" s="1"/>
    </row>
    <row r="5" spans="1:10" ht="13.5" thickBot="1" x14ac:dyDescent="0.25"/>
    <row r="6" spans="1:10" ht="46.5" customHeight="1" x14ac:dyDescent="0.2">
      <c r="B6" s="8"/>
      <c r="C6" s="9" t="s">
        <v>5</v>
      </c>
      <c r="D6" s="9" t="s">
        <v>8</v>
      </c>
      <c r="E6" s="9" t="s">
        <v>29</v>
      </c>
      <c r="F6" s="51" t="s">
        <v>9</v>
      </c>
      <c r="G6" s="53" t="str">
        <f>+G1</f>
        <v>PVP IVA</v>
      </c>
      <c r="H6" s="53"/>
      <c r="I6" s="55" t="str">
        <f>+I1</f>
        <v>Margen farmacia con IVA</v>
      </c>
    </row>
    <row r="7" spans="1:10" ht="13.5" thickBot="1" x14ac:dyDescent="0.25">
      <c r="B7" s="12" t="s">
        <v>28</v>
      </c>
      <c r="C7" s="13">
        <f>+A2</f>
        <v>27.61</v>
      </c>
      <c r="D7" s="13">
        <f>+C7*2%</f>
        <v>0.55220000000000002</v>
      </c>
      <c r="E7" s="50">
        <v>1</v>
      </c>
      <c r="F7" s="52">
        <f>+E7*(C7+D7)*1.045</f>
        <v>29.429498999999996</v>
      </c>
      <c r="G7" s="13">
        <f>+G2*E7</f>
        <v>43.101512449640055</v>
      </c>
      <c r="H7" s="14"/>
      <c r="I7" s="21">
        <f>+(G7-F7)/G7</f>
        <v>0.31720495807692323</v>
      </c>
    </row>
    <row r="8" spans="1:10" ht="46.5" customHeight="1" x14ac:dyDescent="0.2">
      <c r="B8" s="8"/>
      <c r="C8" s="53" t="str">
        <f>+C1</f>
        <v>PVA</v>
      </c>
      <c r="D8" s="53" t="s">
        <v>10</v>
      </c>
      <c r="E8" s="9" t="s">
        <v>29</v>
      </c>
      <c r="F8" s="54" t="s">
        <v>9</v>
      </c>
      <c r="G8" s="53" t="str">
        <f>+G6</f>
        <v>PVP IVA</v>
      </c>
      <c r="H8" s="53"/>
      <c r="I8" s="55" t="str">
        <f>+I6</f>
        <v>Margen farmacia con IVA</v>
      </c>
    </row>
    <row r="9" spans="1:10" ht="13.5" thickBot="1" x14ac:dyDescent="0.25">
      <c r="B9" s="12" t="s">
        <v>30</v>
      </c>
      <c r="C9" s="13">
        <f>+C2</f>
        <v>29.88095238095238</v>
      </c>
      <c r="D9" s="13">
        <f>+C9*7%</f>
        <v>2.0916666666666668</v>
      </c>
      <c r="E9" s="50">
        <v>1</v>
      </c>
      <c r="F9" s="52">
        <f>+E9*(C9-D9)*1.045</f>
        <v>29.039803571428568</v>
      </c>
      <c r="G9" s="13">
        <f>+G7</f>
        <v>43.101512449640055</v>
      </c>
      <c r="H9" s="14"/>
      <c r="I9" s="21">
        <f>+(G9-F9)/G9</f>
        <v>0.32624629807692324</v>
      </c>
    </row>
  </sheetData>
  <pageMargins left="0.7" right="0.7" top="0.75" bottom="0.75" header="0.3" footer="0.3"/>
  <pageSetup paperSize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Slide 14 parte superior</vt:lpstr>
      <vt:lpstr>Slide 14 parte inferior</vt:lpstr>
      <vt:lpstr>20 unidades con condición</vt:lpstr>
      <vt:lpstr>Especialidades Margen Especial</vt:lpstr>
      <vt:lpstr>Comparativa PVL vs PVA</vt:lpstr>
      <vt:lpstr>Ejemplos de bonificación</vt:lpstr>
      <vt:lpstr>Comp PVL vs PVA bonificacion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 Bardaji</dc:creator>
  <cp:lastModifiedBy>Sergi Bardaji</cp:lastModifiedBy>
  <dcterms:created xsi:type="dcterms:W3CDTF">2016-02-21T21:34:19Z</dcterms:created>
  <dcterms:modified xsi:type="dcterms:W3CDTF">2018-05-07T10:44:01Z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